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<sst xmlns="http://schemas.openxmlformats.org/spreadsheetml/2006/main" count="870" uniqueCount="244">
  <si>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</si>
  <si>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</si>
  <si>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</si>
  <si>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</si>
  <si>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</si>
  <si>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</si>
  <si>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</si>
  <si>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</si>
  <si>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</si>
  <si>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</si>
  <si>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</si>
  <si>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</si>
  <si>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</si>
  <si>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</si>
  <si>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</si>
  <si>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</si>
  <si>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</si>
  <si>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</si>
  <si>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</si>
  <si>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</si>
  <si>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</si>
  <si>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</si>
  <si>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</si>
  <si>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</si>
  <si>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</si>
  <si>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</si>
  <si>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</si>
  <si>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</si>
  <si>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</si>
  <si>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</si>
  <si>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</si>
  <si>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</si>
  <si>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</si>
  <si>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</si>
  <si>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</si>
  <si>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</si>
  <si>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</si>
  <si>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</si>
  <si>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</si>
  <si>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</si>
  <si>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</si>
  <si>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</si>
  <si>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</si>
  <si>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</si>
  <si>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</si>
  <si>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</si>
  <si>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</si>
  <si>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</si>
  <si>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</si>
  <si>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</si>
  <si>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</si>
  <si>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</si>
  <si>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</si>
  <si>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</si>
  <si>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</si>
  <si>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</si>
  <si>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</si>
  <si>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</si>
  <si>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</si>
  <si>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</si>
  <si>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</si>
  <si>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</si>
  <si>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</si>
  <si>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</si>
  <si>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</si>
  <si>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</si>
  <si>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</si>
  <si>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</si>
  <si>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</si>
  <si>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</si>
  <si>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</si>
  <si>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</si>
  <si>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</si>
  <si>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</si>
  <si>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</si>
  <si>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</si>
  <si>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</si>
  <si>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</si>
  <si>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</si>
  <si>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</si>
  <si>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</si>
  <si>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</si>
  <si>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</si>
  <si>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</si>
  <si>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</si>
  <si>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</si>
  <si>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</si>
  <si>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</si>
  <si>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</si>
  <si>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</si>
  <si>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</si>
  <si>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</si>
  <si>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</si>
  <si>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</si>
  <si>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</si>
  <si>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</si>
  <si>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</si>
  <si>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</si>
  <si>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</si>
  <si>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</si>
  <si>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</si>
  <si>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</si>
  <si>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</si>
  <si>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</si>
  <si>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</si>
  <si>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</si>
  <si>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</si>
  <si>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</si>
  <si>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</si>
  <si>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</si>
  <si>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</si>
  <si>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</si>
  <si>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</si>
  <si>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</si>
  <si>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</si>
  <si>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</si>
  <si>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</si>
  <si>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</si>
  <si>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</si>
  <si>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</si>
  <si>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</si>
  <si>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</si>
  <si>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</si>
  <si>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</si>
  <si>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</si>
  <si>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</si>
  <si>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</si>
  <si>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</si>
  <si>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</si>
  <si>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</si>
  <si>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</si>
  <si>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</si>
  <si>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</si>
  <si>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</si>
  <si>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</si>
  <si>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</si>
  <si>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</si>
  <si>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</si>
  <si>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</si>
  <si>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</si>
  <si>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</si>
  <si>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</si>
  <si>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</si>
  <si>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</si>
  <si>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</si>
  <si>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</si>
  <si>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</si>
  <si>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</si>
  <si>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</si>
  <si>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</si>
  <si>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</si>
  <si>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</si>
  <si>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</si>
  <si>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</si>
  <si>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</si>
  <si>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</si>
  <si>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</si>
  <si>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</si>
  <si>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</si>
  <si>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</si>
  <si>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</si>
  <si>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</si>
  <si>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</si>
  <si>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</si>
  <si>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</si>
  <si>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</si>
  <si>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</si>
  <si>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</si>
  <si>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</si>
  <si>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</si>
  <si>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</si>
  <si>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</si>
  <si>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</si>
  <si>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</si>
  <si>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</si>
  <si>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</si>
  <si>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</si>
  <si>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</si>
  <si>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</si>
  <si>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</si>
  <si>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</si>
  <si>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</si>
  <si>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</si>
  <si>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</si>
  <si>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</si>
  <si>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</si>
  <si>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</si>
  <si>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</si>
  <si>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</si>
  <si>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</si>
  <si>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</si>
  <si>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</si>
  <si>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</si>
  <si>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</si>
  <si>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</si>
  <si>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</si>
  <si>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</si>
  <si>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</si>
  <si>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</si>
  <si>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</si>
  <si>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</si>
  <si>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</si>
  <si>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</si>
  <si>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</si>
  <si>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</si>
  <si>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</si>
  <si>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</si>
  <si>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</si>
  <si>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</si>
  <si>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</si>
  <si>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</si>
  <si>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</si>
  <si>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</si>
  <si>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</si>
  <si>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</si>
  <si>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</si>
  <si>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</si>
  <si>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</si>
  <si>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</si>
  <si>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</si>
  <si>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</si>
  <si>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</si>
  <si>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</si>
  <si>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</si>
  <si>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</si>
  <si>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</si>
  <si>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</si>
  <si>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</si>
  <si>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</si>
  <si>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</si>
  <si>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</si>
  <si>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</si>
  <si>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</si>
  <si>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</si>
  <si>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</si>
  <si>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</si>
  <si>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</si>
  <si>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</si>
  <si>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</si>
  <si>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</si>
  <si>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</si>
  <si>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</si>
  <si>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</si>
  <si>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02.04.15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</si>
</sst>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07" sqref="I107:I10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/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240</v>
      </c>
      <c r="N3" s="220" t="s">
        <v>241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237</v>
      </c>
      <c r="F4" s="207" t="s">
        <v>116</v>
      </c>
      <c r="G4" s="209" t="s">
        <v>238</v>
      </c>
      <c r="H4" s="211" t="s">
        <v>239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243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12"/>
      <c r="I5" s="205"/>
      <c r="J5" s="201"/>
      <c r="K5" s="197" t="s">
        <v>233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177394.93</v>
      </c>
      <c r="F8" s="18">
        <f>F10+F19+F30+F33+F34+F42</f>
        <v>141105.1</v>
      </c>
      <c r="G8" s="18">
        <f aca="true" t="shared" si="0" ref="G8:G42">F8-E8</f>
        <v>-36289.82999999999</v>
      </c>
      <c r="H8" s="45">
        <f>F8/E8*100</f>
        <v>79.54291591084367</v>
      </c>
      <c r="I8" s="31">
        <f aca="true" t="shared" si="1" ref="I8:I42">F8-D8</f>
        <v>-376323.9</v>
      </c>
      <c r="J8" s="31">
        <f aca="true" t="shared" si="2" ref="J8:J14">F8/D8*100</f>
        <v>27.270427440286493</v>
      </c>
      <c r="K8" s="18">
        <f>K10+K19+K30+K33+K34+K42</f>
        <v>28305.982000000004</v>
      </c>
      <c r="L8" s="18"/>
      <c r="M8" s="18">
        <f>M10+M19+M30+M33+M34+M42</f>
        <v>41736.35</v>
      </c>
      <c r="N8" s="18">
        <f>N10+N19+N30+N33+N34+N42</f>
        <v>1622.3200000000038</v>
      </c>
      <c r="O8" s="31">
        <f aca="true" t="shared" si="3" ref="O8:O45">N8-M8</f>
        <v>-40114.02999999999</v>
      </c>
      <c r="P8" s="31">
        <f>F8/M8*100</f>
        <v>338.0868235962177</v>
      </c>
      <c r="Q8" s="31">
        <f>N8-33748.16</f>
        <v>-32125.84</v>
      </c>
      <c r="R8" s="125">
        <f>N8/33748.16</f>
        <v>0.04807136152015409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79583.16</v>
      </c>
      <c r="G9" s="18">
        <f t="shared" si="0"/>
        <v>79583.16</v>
      </c>
      <c r="H9" s="16"/>
      <c r="I9" s="50">
        <f t="shared" si="1"/>
        <v>-233106.84</v>
      </c>
      <c r="J9" s="50">
        <f t="shared" si="2"/>
        <v>25.451136908759477</v>
      </c>
      <c r="K9" s="50"/>
      <c r="L9" s="50"/>
      <c r="M9" s="16">
        <f>M10+M17</f>
        <v>25134</v>
      </c>
      <c r="N9" s="16">
        <f>N10+N17</f>
        <v>1145.6600000000035</v>
      </c>
      <c r="O9" s="31">
        <f t="shared" si="3"/>
        <v>-23988.339999999997</v>
      </c>
      <c r="P9" s="50">
        <f>F9/M9*100</f>
        <v>316.6354738601098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79583.16</v>
      </c>
      <c r="G10" s="43">
        <f t="shared" si="0"/>
        <v>-22064.819999999992</v>
      </c>
      <c r="H10" s="35">
        <f aca="true" t="shared" si="4" ref="H10:H42">F10/E10*100</f>
        <v>78.29290852607204</v>
      </c>
      <c r="I10" s="50">
        <f t="shared" si="1"/>
        <v>-233106.84</v>
      </c>
      <c r="J10" s="50">
        <f t="shared" si="2"/>
        <v>25.451136908759477</v>
      </c>
      <c r="K10" s="132">
        <f>F10-86046.61/75*60</f>
        <v>10745.872000000003</v>
      </c>
      <c r="L10" s="132">
        <f>F10/(86046.61/75*60)*100</f>
        <v>115.61053945065356</v>
      </c>
      <c r="M10" s="35">
        <f>E10-березень!E10</f>
        <v>25134</v>
      </c>
      <c r="N10" s="35">
        <f>F10-березень!F10</f>
        <v>1145.6600000000035</v>
      </c>
      <c r="O10" s="47">
        <f t="shared" si="3"/>
        <v>-23988.339999999997</v>
      </c>
      <c r="P10" s="50">
        <f aca="true" t="shared" si="5" ref="P10:P42">N10/M10*100</f>
        <v>4.558208005092717</v>
      </c>
      <c r="Q10" s="132">
        <f>N10-26568.11</f>
        <v>-25422.449999999997</v>
      </c>
      <c r="R10" s="133">
        <f>N10/26568.11</f>
        <v>0.043121622125172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E11-березень!E11</f>
        <v>0</v>
      </c>
      <c r="N11" s="35">
        <f>F11-березень!F11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E12-березень!E12</f>
        <v>0</v>
      </c>
      <c r="N12" s="35">
        <f>F12-березень!F12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E13-березень!E13</f>
        <v>0</v>
      </c>
      <c r="N13" s="35">
        <f>F13-березень!F13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E14-березень!E14</f>
        <v>0</v>
      </c>
      <c r="N14" s="35">
        <f>F14-березень!F14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E15-березень!E15</f>
        <v>0</v>
      </c>
      <c r="N15" s="35">
        <f>F15-березень!F15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E19-березень!E19</f>
        <v>0</v>
      </c>
      <c r="N19" s="35">
        <f>F19-березень!F19</f>
        <v>0</v>
      </c>
      <c r="O19" s="47">
        <f t="shared" si="3"/>
        <v>0</v>
      </c>
      <c r="P19" s="50"/>
      <c r="Q19" s="50">
        <f>N19-358.81</f>
        <v>-358.81</v>
      </c>
      <c r="R19" s="126">
        <f>N19/358.81</f>
        <v>0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E29-березень!E29</f>
        <v>0</v>
      </c>
      <c r="N29" s="35">
        <f>F29-березень!F29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E30-березень!E30</f>
        <v>0</v>
      </c>
      <c r="N30" s="35">
        <f>F30-березень!F30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E31-березень!E31</f>
        <v>0</v>
      </c>
      <c r="N31" s="35">
        <f>F31-березень!F31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E32-березень!E32</f>
        <v>0</v>
      </c>
      <c r="N32" s="35">
        <f>F32-березень!F32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12662.75</v>
      </c>
      <c r="F33" s="168">
        <v>10072.47</v>
      </c>
      <c r="G33" s="43">
        <f t="shared" si="0"/>
        <v>-2590.2800000000007</v>
      </c>
      <c r="H33" s="35">
        <f t="shared" si="4"/>
        <v>79.5440958717498</v>
      </c>
      <c r="I33" s="50">
        <f t="shared" si="1"/>
        <v>-19877.53</v>
      </c>
      <c r="J33" s="178">
        <f>F33/D33*100</f>
        <v>33.630951585976625</v>
      </c>
      <c r="K33" s="179">
        <f>F33-0</f>
        <v>10072.47</v>
      </c>
      <c r="L33" s="180"/>
      <c r="M33" s="35">
        <f>E33-березень!E33</f>
        <v>2722.75</v>
      </c>
      <c r="N33" s="35">
        <f>F33-березень!F33</f>
        <v>1.9899999999997817</v>
      </c>
      <c r="O33" s="47">
        <f t="shared" si="3"/>
        <v>-2720.76</v>
      </c>
      <c r="P33" s="50">
        <f t="shared" si="5"/>
        <v>0.07308787071893423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60905.5</v>
      </c>
      <c r="F34" s="169">
        <f>F35+F39+F41+F40</f>
        <v>50453.59</v>
      </c>
      <c r="G34" s="43">
        <f t="shared" si="0"/>
        <v>-10451.910000000003</v>
      </c>
      <c r="H34" s="35">
        <f t="shared" si="4"/>
        <v>82.8391360386172</v>
      </c>
      <c r="I34" s="50">
        <f t="shared" si="1"/>
        <v>-116316.41</v>
      </c>
      <c r="J34" s="178">
        <f aca="true" t="shared" si="11" ref="J34:J42">F34/D34*100</f>
        <v>30.253396893925768</v>
      </c>
      <c r="K34" s="178">
        <f>K35+K39+K40+K41</f>
        <v>9914.100000000002</v>
      </c>
      <c r="L34" s="136"/>
      <c r="M34" s="35">
        <f>E34-березень!E34</f>
        <v>13870.5</v>
      </c>
      <c r="N34" s="35">
        <f>F34-березень!F34</f>
        <v>474.6100000000006</v>
      </c>
      <c r="O34" s="47">
        <f t="shared" si="3"/>
        <v>-13395.89</v>
      </c>
      <c r="P34" s="50">
        <f t="shared" si="5"/>
        <v>3.4217223604051807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31853</v>
      </c>
      <c r="F35" s="169">
        <f>F36+F37+F38</f>
        <v>24772.5</v>
      </c>
      <c r="G35" s="43">
        <f t="shared" si="0"/>
        <v>-7080.5</v>
      </c>
      <c r="H35" s="35">
        <f t="shared" si="4"/>
        <v>77.77132452202305</v>
      </c>
      <c r="I35" s="50">
        <f t="shared" si="1"/>
        <v>-73427.5</v>
      </c>
      <c r="J35" s="178">
        <f t="shared" si="11"/>
        <v>25.226578411405292</v>
      </c>
      <c r="K35" s="178">
        <f>K36+K37+K38</f>
        <v>5581.760000000001</v>
      </c>
      <c r="L35" s="136"/>
      <c r="M35" s="35">
        <f>E35-березень!E35</f>
        <v>8066</v>
      </c>
      <c r="N35" s="35">
        <f>F35-березень!F35</f>
        <v>162.2400000000016</v>
      </c>
      <c r="O35" s="47">
        <f t="shared" si="3"/>
        <v>-7903.759999999998</v>
      </c>
      <c r="P35" s="50">
        <f t="shared" si="5"/>
        <v>2.011405901314178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271</v>
      </c>
      <c r="F36" s="144">
        <v>554.47</v>
      </c>
      <c r="G36" s="135">
        <f t="shared" si="0"/>
        <v>283.47</v>
      </c>
      <c r="H36" s="137">
        <f t="shared" si="4"/>
        <v>204.60147601476018</v>
      </c>
      <c r="I36" s="136">
        <f t="shared" si="1"/>
        <v>-445.53</v>
      </c>
      <c r="J36" s="136">
        <f t="shared" si="11"/>
        <v>55.447</v>
      </c>
      <c r="K36" s="136">
        <f>F36-101.47</f>
        <v>453</v>
      </c>
      <c r="L36" s="136">
        <f>F36/101.47*100</f>
        <v>546.4373706514241</v>
      </c>
      <c r="M36" s="35">
        <f>E36-березень!E36</f>
        <v>161</v>
      </c>
      <c r="N36" s="35">
        <f>F36-березень!F36</f>
        <v>28.190000000000055</v>
      </c>
      <c r="O36" s="47">
        <f t="shared" si="3"/>
        <v>-132.80999999999995</v>
      </c>
      <c r="P36" s="50">
        <f t="shared" si="5"/>
        <v>17.50931677018637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250</v>
      </c>
      <c r="F37" s="144">
        <v>43.95</v>
      </c>
      <c r="G37" s="135">
        <f t="shared" si="0"/>
        <v>-206.05</v>
      </c>
      <c r="H37" s="137"/>
      <c r="I37" s="136">
        <f t="shared" si="1"/>
        <v>-1456.05</v>
      </c>
      <c r="J37" s="136">
        <f t="shared" si="11"/>
        <v>2.93</v>
      </c>
      <c r="K37" s="136">
        <f>F37-0</f>
        <v>43.95</v>
      </c>
      <c r="L37" s="136"/>
      <c r="M37" s="35">
        <f>E37-березень!E37</f>
        <v>250</v>
      </c>
      <c r="N37" s="35">
        <f>F37-березень!F37</f>
        <v>6.25</v>
      </c>
      <c r="O37" s="47">
        <f t="shared" si="3"/>
        <v>-243.75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31332</v>
      </c>
      <c r="F38" s="144">
        <v>24174.08</v>
      </c>
      <c r="G38" s="135">
        <f t="shared" si="0"/>
        <v>-7157.919999999998</v>
      </c>
      <c r="H38" s="137">
        <f t="shared" si="4"/>
        <v>77.15460232350313</v>
      </c>
      <c r="I38" s="136">
        <f t="shared" si="1"/>
        <v>-71525.92</v>
      </c>
      <c r="J38" s="136">
        <f t="shared" si="11"/>
        <v>25.26027168234065</v>
      </c>
      <c r="K38" s="139">
        <f>F38-19089.27</f>
        <v>5084.810000000001</v>
      </c>
      <c r="L38" s="139">
        <f>F38/19089.27*100</f>
        <v>126.63700602485062</v>
      </c>
      <c r="M38" s="35">
        <f>E38-березень!E38</f>
        <v>7655</v>
      </c>
      <c r="N38" s="35">
        <f>F38-березень!F38</f>
        <v>127.80000000000291</v>
      </c>
      <c r="O38" s="47">
        <f t="shared" si="3"/>
        <v>-7527.199999999997</v>
      </c>
      <c r="P38" s="50">
        <f t="shared" si="5"/>
        <v>1.6694970607446493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12.5</v>
      </c>
      <c r="F39" s="168">
        <v>17.62</v>
      </c>
      <c r="G39" s="43">
        <f t="shared" si="0"/>
        <v>5.120000000000001</v>
      </c>
      <c r="H39" s="35">
        <f t="shared" si="4"/>
        <v>140.96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E39-березень!E39</f>
        <v>4.5</v>
      </c>
      <c r="N39" s="35">
        <f>F39-березень!F39</f>
        <v>0</v>
      </c>
      <c r="O39" s="47">
        <f t="shared" si="3"/>
        <v>-4.5</v>
      </c>
      <c r="P39" s="50">
        <f t="shared" si="5"/>
        <v>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E40-березень!E40</f>
        <v>0</v>
      </c>
      <c r="N40" s="35">
        <f>F40-березень!F40</f>
        <v>0</v>
      </c>
      <c r="O40" s="47">
        <f t="shared" si="3"/>
        <v>0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29040</v>
      </c>
      <c r="F41" s="168">
        <v>25650.58</v>
      </c>
      <c r="G41" s="43">
        <f t="shared" si="0"/>
        <v>-3389.4199999999983</v>
      </c>
      <c r="H41" s="35">
        <f t="shared" si="4"/>
        <v>88.3284435261708</v>
      </c>
      <c r="I41" s="50">
        <f t="shared" si="1"/>
        <v>-42849.42</v>
      </c>
      <c r="J41" s="178">
        <f t="shared" si="11"/>
        <v>37.44610218978102</v>
      </c>
      <c r="K41" s="132">
        <f>F41-19695.04</f>
        <v>5955.540000000001</v>
      </c>
      <c r="L41" s="132">
        <f>F41/19695.04*100</f>
        <v>130.23878093164575</v>
      </c>
      <c r="M41" s="35">
        <f>E41-березень!E41</f>
        <v>5800</v>
      </c>
      <c r="N41" s="35">
        <f>F41-березень!F41</f>
        <v>312.3700000000026</v>
      </c>
      <c r="O41" s="47">
        <f t="shared" si="3"/>
        <v>-5487.629999999997</v>
      </c>
      <c r="P41" s="50">
        <f t="shared" si="5"/>
        <v>5.385689655172459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1994.5</v>
      </c>
      <c r="F42" s="168">
        <v>1999.96</v>
      </c>
      <c r="G42" s="43">
        <f t="shared" si="0"/>
        <v>5.460000000000036</v>
      </c>
      <c r="H42" s="35">
        <f t="shared" si="4"/>
        <v>100.27375282025571</v>
      </c>
      <c r="I42" s="50">
        <f t="shared" si="1"/>
        <v>-5500.04</v>
      </c>
      <c r="J42" s="136">
        <f t="shared" si="11"/>
        <v>26.666133333333335</v>
      </c>
      <c r="K42" s="178">
        <f>F42-2603.75</f>
        <v>-603.79</v>
      </c>
      <c r="L42" s="178">
        <f>F42/2603.75*100</f>
        <v>76.81075372059529</v>
      </c>
      <c r="M42" s="35">
        <f>E42-березень!E42</f>
        <v>9.099999999999909</v>
      </c>
      <c r="N42" s="35">
        <f>F42-березень!F42</f>
        <v>0.05999999999994543</v>
      </c>
      <c r="O42" s="47">
        <f t="shared" si="3"/>
        <v>-9.039999999999964</v>
      </c>
      <c r="P42" s="50">
        <f t="shared" si="5"/>
        <v>0.6593406593400662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4088.5</v>
      </c>
      <c r="F48" s="18">
        <f>F51+F60+F61+F62+F63+F71+F72+F73+F75+F79+F70+F69</f>
        <v>8505.7</v>
      </c>
      <c r="G48" s="44">
        <f aca="true" t="shared" si="12" ref="G48:G81">F48-E48</f>
        <v>4417.200000000001</v>
      </c>
      <c r="H48" s="45">
        <f aca="true" t="shared" si="13" ref="H48:H59">F48/E48*100</f>
        <v>208.03962333374102</v>
      </c>
      <c r="I48" s="31">
        <f aca="true" t="shared" si="14" ref="I48:I81">F48-D48</f>
        <v>-4061.3999999999996</v>
      </c>
      <c r="J48" s="31">
        <f aca="true" t="shared" si="15" ref="J48:J66">F48/D48*100</f>
        <v>67.68228151283908</v>
      </c>
      <c r="K48" s="18">
        <f>K51+K60+K61+K62+K63+K71+K72+K73+K75+K79+K70</f>
        <v>5369.280000000001</v>
      </c>
      <c r="L48" s="18"/>
      <c r="M48" s="18">
        <f>M51+M60+M61+M62+M63+M71+M72+M73+M75+M79+M70+M69</f>
        <v>1052.5</v>
      </c>
      <c r="N48" s="18">
        <f>N51+N60+N61+N62+N63+N71+N72+N73+N75+N79+N70+N69</f>
        <v>856.42</v>
      </c>
      <c r="O48" s="49">
        <f aca="true" t="shared" si="16" ref="O48:O81">N48-M48</f>
        <v>-196.08000000000004</v>
      </c>
      <c r="P48" s="31">
        <f>N48/M48*100</f>
        <v>81.37007125890736</v>
      </c>
      <c r="Q48" s="31">
        <f>N48-1017.63</f>
        <v>-161.21000000000004</v>
      </c>
      <c r="R48" s="127">
        <f>N48/1017.63</f>
        <v>0.8415828935860774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45</v>
      </c>
      <c r="F51" s="143">
        <v>-3.69</v>
      </c>
      <c r="G51" s="43">
        <f t="shared" si="12"/>
        <v>-48.69</v>
      </c>
      <c r="H51" s="35">
        <f t="shared" si="13"/>
        <v>-8.200000000000001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E51-березень!E51</f>
        <v>10</v>
      </c>
      <c r="N51" s="35">
        <f>F51-березень!F51</f>
        <v>0</v>
      </c>
      <c r="O51" s="47">
        <f t="shared" si="16"/>
        <v>-10</v>
      </c>
      <c r="P51" s="50">
        <f aca="true" t="shared" si="17" ref="P51:P59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E52-березень!E52</f>
        <v>0</v>
      </c>
      <c r="N52" s="35">
        <f>F52-березень!F52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E53-березень!E53</f>
        <v>0</v>
      </c>
      <c r="N53" s="35">
        <f>F53-березень!F53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E54-березень!E54</f>
        <v>0</v>
      </c>
      <c r="N54" s="35">
        <f>F54-березень!F54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E55-березень!E55</f>
        <v>0</v>
      </c>
      <c r="N55" s="35">
        <f>F55-березень!F55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E56-березень!E56</f>
        <v>0</v>
      </c>
      <c r="N56" s="35">
        <f>F56-березень!F56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E57-березень!E57</f>
        <v>0</v>
      </c>
      <c r="N57" s="35">
        <f>F57-березень!F57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E58-березень!E58</f>
        <v>0</v>
      </c>
      <c r="N58" s="35">
        <f>F58-березень!F58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E59-березень!E59</f>
        <v>0</v>
      </c>
      <c r="N59" s="35">
        <f>F59-березень!F59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E60-березень!E60</f>
        <v>0</v>
      </c>
      <c r="N60" s="35">
        <f>F60-березень!F60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E61-березень!E61</f>
        <v>0</v>
      </c>
      <c r="N61" s="35">
        <f>F61-березень!F61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1.5</v>
      </c>
      <c r="F62" s="143">
        <v>0</v>
      </c>
      <c r="G62" s="43">
        <f t="shared" si="12"/>
        <v>-1.5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E62-березень!E62</f>
        <v>0.5</v>
      </c>
      <c r="N62" s="35">
        <f>F62-березень!F62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37</v>
      </c>
      <c r="F63" s="143">
        <v>30.76</v>
      </c>
      <c r="G63" s="43">
        <f t="shared" si="12"/>
        <v>-6.239999999999998</v>
      </c>
      <c r="H63" s="35">
        <f>F63/E63*100</f>
        <v>83.13513513513514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E63-березень!E63</f>
        <v>12</v>
      </c>
      <c r="N63" s="35">
        <f>F63-березень!F63</f>
        <v>0</v>
      </c>
      <c r="O63" s="47">
        <f t="shared" si="16"/>
        <v>-12</v>
      </c>
      <c r="P63" s="50">
        <f>N63/M63*100</f>
        <v>0</v>
      </c>
      <c r="Q63" s="50">
        <f>N63-9.02</f>
        <v>-9.02</v>
      </c>
      <c r="R63" s="126">
        <f>N63/9.02</f>
        <v>0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E64-березень!E64</f>
        <v>0</v>
      </c>
      <c r="N64" s="35">
        <f>F64-березень!F64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E65-березень!E65</f>
        <v>0</v>
      </c>
      <c r="N65" s="35">
        <f>F65-березень!F65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E66-березень!E66</f>
        <v>0</v>
      </c>
      <c r="N66" s="35">
        <f>F66-березень!F66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E67-березень!E67</f>
        <v>0</v>
      </c>
      <c r="N67" s="35">
        <f>F67-березень!F67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E68-березень!E68</f>
        <v>0</v>
      </c>
      <c r="N68" s="35">
        <f>F68-березень!F68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E69-березень!E69</f>
        <v>0</v>
      </c>
      <c r="N69" s="35">
        <f>F69-березень!F69</f>
        <v>0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2586.71</v>
      </c>
      <c r="G70" s="43">
        <f t="shared" si="12"/>
        <v>2586.71</v>
      </c>
      <c r="H70" s="35"/>
      <c r="I70" s="50">
        <f t="shared" si="14"/>
        <v>2586.71</v>
      </c>
      <c r="J70" s="50"/>
      <c r="K70" s="50">
        <f>F70-0</f>
        <v>2586.71</v>
      </c>
      <c r="L70" s="50"/>
      <c r="M70" s="35">
        <f>E70-березень!E70</f>
        <v>0</v>
      </c>
      <c r="N70" s="35">
        <f>F70-березень!F70</f>
        <v>58.13000000000011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2420</v>
      </c>
      <c r="F71" s="143">
        <v>2673.7</v>
      </c>
      <c r="G71" s="43">
        <f t="shared" si="12"/>
        <v>253.69999999999982</v>
      </c>
      <c r="H71" s="35">
        <f>F71/E71*100</f>
        <v>110.48347107438016</v>
      </c>
      <c r="I71" s="50">
        <f t="shared" si="14"/>
        <v>-4226.3</v>
      </c>
      <c r="J71" s="50">
        <v>550</v>
      </c>
      <c r="K71" s="50">
        <f>F71-1727.4</f>
        <v>946.2999999999997</v>
      </c>
      <c r="L71" s="50">
        <f>F71/1727.4*100</f>
        <v>154.7817529234688</v>
      </c>
      <c r="M71" s="35">
        <f>E71-березень!E71</f>
        <v>630</v>
      </c>
      <c r="N71" s="35">
        <f>F71-березень!F71</f>
        <v>727.5599999999997</v>
      </c>
      <c r="O71" s="47">
        <f t="shared" si="16"/>
        <v>97.55999999999972</v>
      </c>
      <c r="P71" s="50">
        <f>N71/M71*100</f>
        <v>115.48571428571424</v>
      </c>
      <c r="Q71" s="50">
        <f>N71-647.49</f>
        <v>80.06999999999971</v>
      </c>
      <c r="R71" s="126">
        <f>N71/647.49</f>
        <v>1.1236621415002543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310</v>
      </c>
      <c r="F72" s="143">
        <v>2245.36</v>
      </c>
      <c r="G72" s="43">
        <f t="shared" si="12"/>
        <v>1935.3600000000001</v>
      </c>
      <c r="H72" s="35">
        <f>F72/E72*100</f>
        <v>724.3096774193549</v>
      </c>
      <c r="I72" s="50">
        <f t="shared" si="14"/>
        <v>1145.3600000000001</v>
      </c>
      <c r="J72" s="50">
        <v>90</v>
      </c>
      <c r="K72" s="50">
        <f>F72-198.87</f>
        <v>2046.4900000000002</v>
      </c>
      <c r="L72" s="50">
        <f>F72/198.87*100</f>
        <v>1129.059184391814</v>
      </c>
      <c r="M72" s="35">
        <f>E72-березень!E72</f>
        <v>80</v>
      </c>
      <c r="N72" s="35">
        <f>F72-березень!F72</f>
        <v>63.38000000000011</v>
      </c>
      <c r="O72" s="47">
        <f t="shared" si="16"/>
        <v>-16.61999999999989</v>
      </c>
      <c r="P72" s="50">
        <f>N72/M72*100</f>
        <v>79.22500000000014</v>
      </c>
      <c r="Q72" s="50">
        <f>N72-79.51</f>
        <v>-16.129999999999896</v>
      </c>
      <c r="R72" s="126">
        <f>N72/79.51</f>
        <v>0.797132436171552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E73-березень!E73</f>
        <v>0</v>
      </c>
      <c r="N73" s="35">
        <f>F73-березень!F73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E74-березень!E74</f>
        <v>0</v>
      </c>
      <c r="N74" s="35">
        <f>F74-березень!F74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1270</v>
      </c>
      <c r="F75" s="143">
        <v>967.82</v>
      </c>
      <c r="G75" s="43">
        <f t="shared" si="12"/>
        <v>-302.17999999999995</v>
      </c>
      <c r="H75" s="35">
        <f>F75/E75*100</f>
        <v>76.20629921259842</v>
      </c>
      <c r="I75" s="50">
        <f t="shared" si="14"/>
        <v>-3232.18</v>
      </c>
      <c r="J75" s="50">
        <f>F75/D75*100</f>
        <v>23.043333333333337</v>
      </c>
      <c r="K75" s="50">
        <f>F75-913.85</f>
        <v>53.97000000000003</v>
      </c>
      <c r="L75" s="50">
        <f>F75/913.85*100</f>
        <v>105.90578322481807</v>
      </c>
      <c r="M75" s="35">
        <f>E75-березень!E75</f>
        <v>320</v>
      </c>
      <c r="N75" s="35">
        <f>F75-березень!F75</f>
        <v>7.350000000000023</v>
      </c>
      <c r="O75" s="47">
        <f t="shared" si="16"/>
        <v>-312.65</v>
      </c>
      <c r="P75" s="50">
        <f t="shared" si="20"/>
        <v>2.296875000000007</v>
      </c>
      <c r="Q75" s="50">
        <f>N75-277.38</f>
        <v>-270.03</v>
      </c>
      <c r="R75" s="126">
        <f>N75/277.38</f>
        <v>0.026497945057322166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E76-березень!E76</f>
        <v>0</v>
      </c>
      <c r="N76" s="35">
        <f>F76-березень!F76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E77-березень!E77</f>
        <v>0</v>
      </c>
      <c r="N77" s="35">
        <f>F77-березень!F77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244.4</v>
      </c>
      <c r="G78" s="135">
        <f t="shared" si="12"/>
        <v>244.4</v>
      </c>
      <c r="H78" s="137"/>
      <c r="I78" s="136">
        <f t="shared" si="14"/>
        <v>244.4</v>
      </c>
      <c r="J78" s="136"/>
      <c r="K78" s="136">
        <f>F78-172.57</f>
        <v>71.83000000000001</v>
      </c>
      <c r="L78" s="138">
        <f>F78/172.57*100</f>
        <v>141.62368893782232</v>
      </c>
      <c r="M78" s="35">
        <f>E78-березень!E78</f>
        <v>0</v>
      </c>
      <c r="N78" s="35">
        <f>F78-березень!F78</f>
        <v>4.800000000000011</v>
      </c>
      <c r="O78" s="138">
        <f t="shared" si="16"/>
        <v>4.800000000000011</v>
      </c>
      <c r="P78" s="136"/>
      <c r="Q78" s="50">
        <f>N78-64.93</f>
        <v>-60.129999999999995</v>
      </c>
      <c r="R78" s="126">
        <f>N78/64.93</f>
        <v>0.07392576620976453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E79-березень!E79</f>
        <v>0</v>
      </c>
      <c r="N79" s="35">
        <f>F79-березень!F79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8.4</v>
      </c>
      <c r="F80" s="143">
        <v>6.1</v>
      </c>
      <c r="G80" s="43">
        <f t="shared" si="12"/>
        <v>-2.3000000000000007</v>
      </c>
      <c r="H80" s="35">
        <f>F80/E80*100</f>
        <v>72.61904761904762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E80-березень!E80</f>
        <v>2.2</v>
      </c>
      <c r="N80" s="35">
        <f>F80-березень!F80</f>
        <v>0</v>
      </c>
      <c r="O80" s="47">
        <f t="shared" si="16"/>
        <v>-2.2</v>
      </c>
      <c r="P80" s="50">
        <f t="shared" si="20"/>
        <v>0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E81-березень!E81</f>
        <v>0</v>
      </c>
      <c r="N81" s="35">
        <f>F81-березень!F81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181491.83</v>
      </c>
      <c r="F82" s="18">
        <f>F8+F48+F80+F81</f>
        <v>149616.92</v>
      </c>
      <c r="G82" s="44">
        <f>F82-E82</f>
        <v>-31874.909999999974</v>
      </c>
      <c r="H82" s="45">
        <f>F82/E82*100</f>
        <v>82.43727555119149</v>
      </c>
      <c r="I82" s="31">
        <f>F82-D82</f>
        <v>-380405.67999999993</v>
      </c>
      <c r="J82" s="31">
        <f>F82/D82*100</f>
        <v>28.228403845420935</v>
      </c>
      <c r="K82" s="31">
        <f>K8+K48+K80+K81</f>
        <v>33675.43200000001</v>
      </c>
      <c r="L82" s="31"/>
      <c r="M82" s="18">
        <f>M8+M48+M80+M81</f>
        <v>42791.049999999996</v>
      </c>
      <c r="N82" s="18">
        <f>N8+N48+N80+N81</f>
        <v>2478.740000000004</v>
      </c>
      <c r="O82" s="49">
        <f>N82-M82</f>
        <v>-40312.30999999999</v>
      </c>
      <c r="P82" s="31">
        <f>N82/M82*100</f>
        <v>5.792659913696916</v>
      </c>
      <c r="Q82" s="31">
        <f>N82-34768</f>
        <v>-32289.259999999995</v>
      </c>
      <c r="R82" s="171">
        <f>N82/34768</f>
        <v>0.07129371836171203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E87-березень!E87</f>
        <v>0</v>
      </c>
      <c r="N87" s="35">
        <f>F87-березень!F87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70</v>
      </c>
      <c r="F90" s="146">
        <v>33.47</v>
      </c>
      <c r="G90" s="43">
        <f t="shared" si="21"/>
        <v>-36.53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E90-березень!E90</f>
        <v>70</v>
      </c>
      <c r="N90" s="35">
        <f>F90-березень!F90</f>
        <v>0</v>
      </c>
      <c r="O90" s="47">
        <f t="shared" si="23"/>
        <v>-70</v>
      </c>
      <c r="P90" s="53"/>
      <c r="Q90" s="53">
        <f>N90-0.04</f>
        <v>-0.04</v>
      </c>
      <c r="R90" s="129">
        <f>N90/0.04</f>
        <v>0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1498.98</v>
      </c>
      <c r="F91" s="146">
        <v>1409.78</v>
      </c>
      <c r="G91" s="43">
        <f t="shared" si="21"/>
        <v>-89.20000000000005</v>
      </c>
      <c r="H91" s="35">
        <f t="shared" si="24"/>
        <v>94.04928684839024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E91-березень!E91</f>
        <v>960.85</v>
      </c>
      <c r="N91" s="35">
        <f>F91-березень!F91</f>
        <v>0</v>
      </c>
      <c r="O91" s="47">
        <f t="shared" si="23"/>
        <v>-960.85</v>
      </c>
      <c r="P91" s="53">
        <f>N91/M91*100</f>
        <v>0</v>
      </c>
      <c r="Q91" s="53">
        <f>N91-450.01</f>
        <v>-450.01</v>
      </c>
      <c r="R91" s="129">
        <f>N91/450.01</f>
        <v>0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444.3</v>
      </c>
      <c r="F92" s="146">
        <v>11.06</v>
      </c>
      <c r="G92" s="43">
        <f t="shared" si="21"/>
        <v>-433.24</v>
      </c>
      <c r="H92" s="35">
        <f t="shared" si="24"/>
        <v>2.4893090254332657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E92-березень!E92</f>
        <v>148.10000000000002</v>
      </c>
      <c r="N92" s="35">
        <f>F92-березень!F92</f>
        <v>0</v>
      </c>
      <c r="O92" s="47">
        <f t="shared" si="23"/>
        <v>-148.10000000000002</v>
      </c>
      <c r="P92" s="53">
        <f>N92/M92*100</f>
        <v>0</v>
      </c>
      <c r="Q92" s="53">
        <f>N92-1.05</f>
        <v>-1.05</v>
      </c>
      <c r="R92" s="129">
        <f>N92/1.05</f>
        <v>0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2013.28</v>
      </c>
      <c r="F93" s="145">
        <f>F90+F91+F92</f>
        <v>1454.31</v>
      </c>
      <c r="G93" s="55">
        <f t="shared" si="21"/>
        <v>-558.97</v>
      </c>
      <c r="H93" s="65">
        <f t="shared" si="24"/>
        <v>72.23585392990543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1178.9499999999998</v>
      </c>
      <c r="N93" s="55">
        <f>N90+N91+N92</f>
        <v>0</v>
      </c>
      <c r="O93" s="54">
        <f t="shared" si="23"/>
        <v>-1178.9499999999998</v>
      </c>
      <c r="P93" s="54">
        <f>N93/M93*100</f>
        <v>0</v>
      </c>
      <c r="Q93" s="54">
        <f>N93-7985.28</f>
        <v>-7985.28</v>
      </c>
      <c r="R93" s="173">
        <f>N93/7985.28</f>
        <v>0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9</v>
      </c>
      <c r="F94" s="146">
        <v>0</v>
      </c>
      <c r="G94" s="43">
        <f t="shared" si="21"/>
        <v>-9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E94-березень!E94</f>
        <v>5</v>
      </c>
      <c r="N94" s="35">
        <f>F94-березень!F94</f>
        <v>0</v>
      </c>
      <c r="O94" s="47">
        <f t="shared" si="23"/>
        <v>-5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E95-березень!E95</f>
        <v>0</v>
      </c>
      <c r="N95" s="35">
        <f>F95-березень!F95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10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E96-березень!E96</f>
        <v>10</v>
      </c>
      <c r="N96" s="35">
        <f>F96-березень!F96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E97-березень!E97</f>
        <v>0</v>
      </c>
      <c r="N97" s="35">
        <f>F97-березень!F97</f>
        <v>0</v>
      </c>
      <c r="O97" s="47">
        <f>N97-M97</f>
        <v>0</v>
      </c>
      <c r="P97" s="53"/>
      <c r="Q97" s="53">
        <f>N97-(-0.21)</f>
        <v>0.21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19</v>
      </c>
      <c r="F98" s="145">
        <f>F94+F97+F96</f>
        <v>0.58</v>
      </c>
      <c r="G98" s="55">
        <f>F98-E98</f>
        <v>-18.42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15</v>
      </c>
      <c r="N98" s="55">
        <f>N94+N97+N96</f>
        <v>0</v>
      </c>
      <c r="O98" s="54">
        <f>N98-M98</f>
        <v>-15</v>
      </c>
      <c r="P98" s="54"/>
      <c r="Q98" s="54">
        <f>N98-26.38</f>
        <v>-26.38</v>
      </c>
      <c r="R98" s="128">
        <f>N98/26.38</f>
        <v>0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12.79</v>
      </c>
      <c r="F99" s="146">
        <v>12.95</v>
      </c>
      <c r="G99" s="43">
        <f>F99-E99</f>
        <v>0.16000000000000014</v>
      </c>
      <c r="H99" s="35">
        <f>F99/E99*100</f>
        <v>101.25097732603597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E99-березень!E99</f>
        <v>1.1999999999999993</v>
      </c>
      <c r="N99" s="35">
        <f>F99-березень!F99</f>
        <v>0</v>
      </c>
      <c r="O99" s="47">
        <f>N99-M99</f>
        <v>-1.1999999999999993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2045.07</v>
      </c>
      <c r="F100" s="27">
        <f>F88+F99+F93+F98</f>
        <v>1453.1899999999998</v>
      </c>
      <c r="G100" s="44">
        <f>F100-E100</f>
        <v>-591.8800000000001</v>
      </c>
      <c r="H100" s="45">
        <f>F100/E100*100</f>
        <v>71.05820338668113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1195.1499999999999</v>
      </c>
      <c r="N100" s="27">
        <f>N88+N99+N93+N98</f>
        <v>0</v>
      </c>
      <c r="O100" s="31">
        <f>N100-M100</f>
        <v>-1195.1499999999999</v>
      </c>
      <c r="P100" s="31">
        <f>N100/M100*100</f>
        <v>0</v>
      </c>
      <c r="Q100" s="31">
        <f>N100-8104.96</f>
        <v>-8104.96</v>
      </c>
      <c r="R100" s="127">
        <f>N100/8104.96</f>
        <v>0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183536.9</v>
      </c>
      <c r="F101" s="27">
        <f>F82+F100</f>
        <v>151070.11000000002</v>
      </c>
      <c r="G101" s="44">
        <f>F101-E101</f>
        <v>-32466.78999999998</v>
      </c>
      <c r="H101" s="45">
        <f>F101/E101*100</f>
        <v>82.31048361392179</v>
      </c>
      <c r="I101" s="31">
        <f>F101-D101</f>
        <v>-396124.49</v>
      </c>
      <c r="J101" s="31">
        <f>F101/D101*100</f>
        <v>27.60811418826136</v>
      </c>
      <c r="K101" s="31">
        <f>K82+K100</f>
        <v>33509.64200000001</v>
      </c>
      <c r="L101" s="31"/>
      <c r="M101" s="18">
        <f>M82+M100</f>
        <v>43986.2</v>
      </c>
      <c r="N101" s="18">
        <f>N82+N100</f>
        <v>2478.740000000004</v>
      </c>
      <c r="O101" s="31">
        <f>N101-M101</f>
        <v>-41507.45999999999</v>
      </c>
      <c r="P101" s="31">
        <f>N101/M101*100</f>
        <v>5.635267424783237</v>
      </c>
      <c r="Q101" s="31">
        <f>N101-42872.96</f>
        <v>-40394.219999999994</v>
      </c>
      <c r="R101" s="127">
        <f>N101/42872.96</f>
        <v>0.05781592873456845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19</v>
      </c>
      <c r="D103" s="4" t="s">
        <v>118</v>
      </c>
    </row>
    <row r="104" spans="2:17" ht="31.5">
      <c r="B104" s="71" t="s">
        <v>154</v>
      </c>
      <c r="C104" s="34">
        <f>IF(O82&lt;0,ABS(O82/C103),0)</f>
        <v>2121.700526315789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42096</v>
      </c>
      <c r="D105" s="34">
        <v>1905.9</v>
      </c>
      <c r="N105" s="194"/>
      <c r="O105" s="194"/>
    </row>
    <row r="106" spans="3:15" ht="15.75">
      <c r="C106" s="111">
        <v>42095</v>
      </c>
      <c r="D106" s="34">
        <v>572.9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42094</v>
      </c>
      <c r="D107" s="34">
        <v>2319.1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195" t="s">
        <v>234</v>
      </c>
      <c r="H108" s="196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v>147250.85692</v>
      </c>
      <c r="E109" s="73"/>
      <c r="F109" s="156" t="s">
        <v>147</v>
      </c>
      <c r="G109" s="191" t="s">
        <v>149</v>
      </c>
      <c r="H109" s="191"/>
      <c r="I109" s="107">
        <v>138341.12470999997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5" right="0.18" top="0.36" bottom="0.34" header="0.24" footer="0.29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/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231</v>
      </c>
      <c r="N3" s="220" t="s">
        <v>232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228</v>
      </c>
      <c r="F4" s="207" t="s">
        <v>116</v>
      </c>
      <c r="G4" s="209" t="s">
        <v>229</v>
      </c>
      <c r="H4" s="211" t="s">
        <v>230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236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12"/>
      <c r="I5" s="205"/>
      <c r="J5" s="201"/>
      <c r="K5" s="197" t="s">
        <v>233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4"/>
      <c r="O105" s="194"/>
    </row>
    <row r="106" spans="3:15" ht="15.75">
      <c r="C106" s="111">
        <v>42093</v>
      </c>
      <c r="D106" s="34">
        <v>8025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42090</v>
      </c>
      <c r="D107" s="34">
        <v>4282.6</v>
      </c>
      <c r="G107" s="191" t="s">
        <v>151</v>
      </c>
      <c r="H107" s="191"/>
      <c r="I107" s="106">
        <f>8909732.21/1000</f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195" t="s">
        <v>234</v>
      </c>
      <c r="H108" s="196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f>147433239.77/1000</f>
        <v>147433.23977000001</v>
      </c>
      <c r="E109" s="73"/>
      <c r="F109" s="156" t="s">
        <v>147</v>
      </c>
      <c r="G109" s="191" t="s">
        <v>149</v>
      </c>
      <c r="H109" s="191"/>
      <c r="I109" s="107">
        <f>138523507.56/1000</f>
        <v>138523.50756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8" sqref="F7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 t="s">
        <v>205</v>
      </c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221</v>
      </c>
      <c r="N3" s="220" t="s">
        <v>202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199</v>
      </c>
      <c r="F4" s="207" t="s">
        <v>116</v>
      </c>
      <c r="G4" s="209" t="s">
        <v>200</v>
      </c>
      <c r="H4" s="211" t="s">
        <v>201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226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12"/>
      <c r="I5" s="205"/>
      <c r="J5" s="201"/>
      <c r="K5" s="197" t="s">
        <v>224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4"/>
      <c r="O105" s="194"/>
    </row>
    <row r="106" spans="3:15" ht="15.75">
      <c r="C106" s="111">
        <v>42061</v>
      </c>
      <c r="D106" s="34">
        <v>6003.3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42060</v>
      </c>
      <c r="D107" s="34">
        <v>1551.3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223" t="s">
        <v>155</v>
      </c>
      <c r="H108" s="223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f>138305956.27/1000</f>
        <v>138305.95627000002</v>
      </c>
      <c r="E109" s="73"/>
      <c r="F109" s="156" t="s">
        <v>147</v>
      </c>
      <c r="G109" s="191" t="s">
        <v>149</v>
      </c>
      <c r="H109" s="191"/>
      <c r="I109" s="107">
        <v>129396.23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 t="s">
        <v>205</v>
      </c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220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219</v>
      </c>
      <c r="F4" s="207" t="s">
        <v>116</v>
      </c>
      <c r="G4" s="209" t="s">
        <v>173</v>
      </c>
      <c r="H4" s="224" t="s">
        <v>174</v>
      </c>
      <c r="I4" s="226" t="s">
        <v>217</v>
      </c>
      <c r="J4" s="229" t="s">
        <v>218</v>
      </c>
      <c r="K4" s="116" t="s">
        <v>172</v>
      </c>
      <c r="L4" s="121" t="s">
        <v>171</v>
      </c>
      <c r="M4" s="200"/>
      <c r="N4" s="202" t="s">
        <v>194</v>
      </c>
      <c r="O4" s="226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25"/>
      <c r="I5" s="227"/>
      <c r="J5" s="230"/>
      <c r="K5" s="197" t="s">
        <v>188</v>
      </c>
      <c r="L5" s="198"/>
      <c r="M5" s="201"/>
      <c r="N5" s="203"/>
      <c r="O5" s="227"/>
      <c r="P5" s="220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9"/>
      <c r="H102" s="199"/>
      <c r="I102" s="199"/>
      <c r="J102" s="19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4"/>
      <c r="O103" s="194"/>
    </row>
    <row r="104" spans="3:15" ht="15.75">
      <c r="C104" s="111">
        <v>42033</v>
      </c>
      <c r="D104" s="34">
        <v>2896.5</v>
      </c>
      <c r="F104" s="155" t="s">
        <v>166</v>
      </c>
      <c r="G104" s="191" t="s">
        <v>151</v>
      </c>
      <c r="H104" s="191"/>
      <c r="I104" s="106">
        <f>'січень '!I139</f>
        <v>8909.733</v>
      </c>
      <c r="J104" s="228" t="s">
        <v>161</v>
      </c>
      <c r="K104" s="228"/>
      <c r="L104" s="228"/>
      <c r="M104" s="228"/>
      <c r="N104" s="194"/>
      <c r="O104" s="194"/>
    </row>
    <row r="105" spans="3:15" ht="15.75">
      <c r="C105" s="111">
        <v>42032</v>
      </c>
      <c r="D105" s="34">
        <v>2838.1</v>
      </c>
      <c r="G105" s="223" t="s">
        <v>155</v>
      </c>
      <c r="H105" s="223"/>
      <c r="I105" s="103">
        <f>'січень '!I140</f>
        <v>0</v>
      </c>
      <c r="J105" s="231" t="s">
        <v>162</v>
      </c>
      <c r="K105" s="231"/>
      <c r="L105" s="231"/>
      <c r="M105" s="231"/>
      <c r="N105" s="194"/>
      <c r="O105" s="194"/>
    </row>
    <row r="106" spans="7:13" ht="15.75" customHeight="1">
      <c r="G106" s="191" t="s">
        <v>148</v>
      </c>
      <c r="H106" s="191"/>
      <c r="I106" s="103">
        <f>'січень '!I141</f>
        <v>0</v>
      </c>
      <c r="J106" s="228" t="s">
        <v>163</v>
      </c>
      <c r="K106" s="228"/>
      <c r="L106" s="228"/>
      <c r="M106" s="228"/>
    </row>
    <row r="107" spans="2:13" ht="18.75" customHeight="1">
      <c r="B107" s="189" t="s">
        <v>160</v>
      </c>
      <c r="C107" s="190"/>
      <c r="D107" s="108">
        <f>'січень '!D142</f>
        <v>132375.63</v>
      </c>
      <c r="E107" s="73"/>
      <c r="F107" s="156" t="s">
        <v>147</v>
      </c>
      <c r="G107" s="191" t="s">
        <v>149</v>
      </c>
      <c r="H107" s="191"/>
      <c r="I107" s="107">
        <f>'січень '!I142</f>
        <v>123465.893</v>
      </c>
      <c r="J107" s="228" t="s">
        <v>164</v>
      </c>
      <c r="K107" s="228"/>
      <c r="L107" s="228"/>
      <c r="M107" s="228"/>
    </row>
    <row r="108" spans="7:12" ht="9.75" customHeight="1">
      <c r="G108" s="185"/>
      <c r="H108" s="185"/>
      <c r="I108" s="90"/>
      <c r="J108" s="91"/>
      <c r="K108" s="91"/>
      <c r="L108" s="91"/>
    </row>
    <row r="109" spans="2:12" ht="22.5" customHeight="1" hidden="1">
      <c r="B109" s="186" t="s">
        <v>167</v>
      </c>
      <c r="C109" s="187"/>
      <c r="D109" s="110">
        <v>0</v>
      </c>
      <c r="E109" s="70" t="s">
        <v>104</v>
      </c>
      <c r="G109" s="185"/>
      <c r="H109" s="185"/>
      <c r="I109" s="90"/>
      <c r="J109" s="91"/>
      <c r="K109" s="91"/>
      <c r="L109" s="91"/>
    </row>
    <row r="110" spans="4:15" ht="15.75">
      <c r="D110" s="105"/>
      <c r="N110" s="185"/>
      <c r="O110" s="185"/>
    </row>
    <row r="111" spans="4:15" ht="15.75">
      <c r="D111" s="104"/>
      <c r="I111" s="34"/>
      <c r="N111" s="188"/>
      <c r="O111" s="188"/>
    </row>
    <row r="112" spans="14:15" ht="15.75">
      <c r="N112" s="185"/>
      <c r="O112" s="185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 t="s">
        <v>203</v>
      </c>
      <c r="C3" s="182" t="s">
        <v>0</v>
      </c>
      <c r="D3" s="183" t="s">
        <v>190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187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153</v>
      </c>
      <c r="F4" s="207" t="s">
        <v>116</v>
      </c>
      <c r="G4" s="209" t="s">
        <v>173</v>
      </c>
      <c r="H4" s="224" t="s">
        <v>174</v>
      </c>
      <c r="I4" s="226" t="s">
        <v>186</v>
      </c>
      <c r="J4" s="229" t="s">
        <v>189</v>
      </c>
      <c r="K4" s="116" t="s">
        <v>172</v>
      </c>
      <c r="L4" s="121" t="s">
        <v>171</v>
      </c>
      <c r="M4" s="200"/>
      <c r="N4" s="202" t="s">
        <v>194</v>
      </c>
      <c r="O4" s="226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25"/>
      <c r="I5" s="227"/>
      <c r="J5" s="230"/>
      <c r="K5" s="197" t="s">
        <v>188</v>
      </c>
      <c r="L5" s="198"/>
      <c r="M5" s="201"/>
      <c r="N5" s="203"/>
      <c r="O5" s="227"/>
      <c r="P5" s="220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9"/>
      <c r="H137" s="199"/>
      <c r="I137" s="199"/>
      <c r="J137" s="19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4"/>
      <c r="O138" s="194"/>
    </row>
    <row r="139" spans="3:15" ht="15.75">
      <c r="C139" s="111">
        <v>42033</v>
      </c>
      <c r="D139" s="34">
        <v>2896.5</v>
      </c>
      <c r="F139" s="155" t="s">
        <v>166</v>
      </c>
      <c r="G139" s="191" t="s">
        <v>151</v>
      </c>
      <c r="H139" s="191"/>
      <c r="I139" s="106">
        <f>8909.733</f>
        <v>8909.733</v>
      </c>
      <c r="J139" s="228" t="s">
        <v>161</v>
      </c>
      <c r="K139" s="228"/>
      <c r="L139" s="228"/>
      <c r="M139" s="228"/>
      <c r="N139" s="194"/>
      <c r="O139" s="194"/>
    </row>
    <row r="140" spans="3:15" ht="15.75">
      <c r="C140" s="111">
        <v>42032</v>
      </c>
      <c r="D140" s="34">
        <v>2838.1</v>
      </c>
      <c r="G140" s="223" t="s">
        <v>155</v>
      </c>
      <c r="H140" s="223"/>
      <c r="I140" s="103">
        <v>0</v>
      </c>
      <c r="J140" s="231" t="s">
        <v>162</v>
      </c>
      <c r="K140" s="231"/>
      <c r="L140" s="231"/>
      <c r="M140" s="231"/>
      <c r="N140" s="194"/>
      <c r="O140" s="194"/>
    </row>
    <row r="141" spans="7:13" ht="15.75" customHeight="1">
      <c r="G141" s="191" t="s">
        <v>148</v>
      </c>
      <c r="H141" s="191"/>
      <c r="I141" s="103">
        <v>0</v>
      </c>
      <c r="J141" s="228" t="s">
        <v>163</v>
      </c>
      <c r="K141" s="228"/>
      <c r="L141" s="228"/>
      <c r="M141" s="228"/>
    </row>
    <row r="142" spans="2:13" ht="18.75" customHeight="1">
      <c r="B142" s="189" t="s">
        <v>160</v>
      </c>
      <c r="C142" s="190"/>
      <c r="D142" s="108">
        <f>132375.63</f>
        <v>132375.63</v>
      </c>
      <c r="E142" s="73"/>
      <c r="F142" s="156" t="s">
        <v>147</v>
      </c>
      <c r="G142" s="191" t="s">
        <v>149</v>
      </c>
      <c r="H142" s="191"/>
      <c r="I142" s="107">
        <f>123465.893</f>
        <v>123465.893</v>
      </c>
      <c r="J142" s="228" t="s">
        <v>164</v>
      </c>
      <c r="K142" s="228"/>
      <c r="L142" s="228"/>
      <c r="M142" s="228"/>
    </row>
    <row r="143" spans="7:12" ht="9.75" customHeight="1">
      <c r="G143" s="185"/>
      <c r="H143" s="185"/>
      <c r="I143" s="90"/>
      <c r="J143" s="91"/>
      <c r="K143" s="91"/>
      <c r="L143" s="91"/>
    </row>
    <row r="144" spans="2:12" ht="22.5" customHeight="1" hidden="1">
      <c r="B144" s="186" t="s">
        <v>167</v>
      </c>
      <c r="C144" s="187"/>
      <c r="D144" s="110">
        <v>0</v>
      </c>
      <c r="E144" s="70" t="s">
        <v>104</v>
      </c>
      <c r="G144" s="185"/>
      <c r="H144" s="185"/>
      <c r="I144" s="90"/>
      <c r="J144" s="91"/>
      <c r="K144" s="91"/>
      <c r="L144" s="91"/>
    </row>
    <row r="145" spans="4:15" ht="15.75">
      <c r="D145" s="105"/>
      <c r="N145" s="185"/>
      <c r="O145" s="185"/>
    </row>
    <row r="146" spans="4:15" ht="15.75">
      <c r="D146" s="104"/>
      <c r="I146" s="34"/>
      <c r="N146" s="188"/>
      <c r="O146" s="188"/>
    </row>
    <row r="147" spans="14:15" ht="15.75">
      <c r="N147" s="185"/>
      <c r="O147" s="185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2015-04-02T12:14:25Z</cp:lastPrinted>
  <dcterms:created xsi:type="dcterms:W3CDTF">2003-07-28T11:27:56Z</dcterms:created>
  <dcterms:modified xsi:type="dcterms:W3CDTF">2015-04-03T11:59:54Z</dcterms:modified>
  <cp:category/>
  <cp:version/>
  <cp:contentType/>
  <cp:contentStatus/>
</cp:coreProperties>
</file>